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h\Desktop\dye_fading_conf_int\"/>
    </mc:Choice>
  </mc:AlternateContent>
  <bookViews>
    <workbookView xWindow="0" yWindow="0" windowWidth="8745" windowHeight="7515"/>
  </bookViews>
  <sheets>
    <sheet name="Nonlinear Statistics" sheetId="1" r:id="rId1"/>
    <sheet name="Confidence Interval" sheetId="2" r:id="rId2"/>
  </sheets>
  <definedNames>
    <definedName name="solver_adj" localSheetId="0" hidden="1">'Nonlinear Statistics'!$B$5:$B$6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'Nonlinear Statistics'!$G$20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D6" i="2" l="1"/>
  <c r="D5" i="2"/>
  <c r="B12" i="1"/>
  <c r="G31" i="1" s="1"/>
  <c r="G32" i="1" s="1"/>
  <c r="H35" i="1" s="1"/>
  <c r="H5" i="1"/>
  <c r="H18" i="1"/>
  <c r="F5" i="1"/>
  <c r="I5" i="1" s="1"/>
  <c r="H36" i="1" l="1"/>
  <c r="G5" i="1"/>
  <c r="F11" i="1"/>
  <c r="H11" i="1"/>
  <c r="H16" i="1"/>
  <c r="H15" i="1"/>
  <c r="H14" i="1"/>
  <c r="H13" i="1"/>
  <c r="H8" i="1"/>
  <c r="H7" i="1"/>
  <c r="H6" i="1"/>
  <c r="H12" i="1"/>
  <c r="H10" i="1"/>
  <c r="H17" i="1"/>
  <c r="H9" i="1"/>
  <c r="F18" i="1"/>
  <c r="F12" i="1"/>
  <c r="F15" i="1"/>
  <c r="F7" i="1"/>
  <c r="F14" i="1"/>
  <c r="F6" i="1"/>
  <c r="F13" i="1"/>
  <c r="F10" i="1"/>
  <c r="F17" i="1"/>
  <c r="F9" i="1"/>
  <c r="F16" i="1"/>
  <c r="F8" i="1"/>
  <c r="I15" i="1" l="1"/>
  <c r="G15" i="1"/>
  <c r="I9" i="1"/>
  <c r="G9" i="1"/>
  <c r="I8" i="1"/>
  <c r="G8" i="1"/>
  <c r="I16" i="1"/>
  <c r="G16" i="1"/>
  <c r="I12" i="1"/>
  <c r="G12" i="1"/>
  <c r="I17" i="1"/>
  <c r="G17" i="1"/>
  <c r="I18" i="1"/>
  <c r="G18" i="1"/>
  <c r="I10" i="1"/>
  <c r="G10" i="1"/>
  <c r="I13" i="1"/>
  <c r="G13" i="1"/>
  <c r="I6" i="1"/>
  <c r="G6" i="1"/>
  <c r="I14" i="1"/>
  <c r="G14" i="1"/>
  <c r="I7" i="1"/>
  <c r="G7" i="1"/>
  <c r="I11" i="1"/>
  <c r="G11" i="1"/>
  <c r="B22" i="1" l="1"/>
  <c r="D22" i="1" s="1"/>
  <c r="B21" i="1"/>
  <c r="D21" i="1" s="1"/>
  <c r="G20" i="1"/>
</calcChain>
</file>

<file path=xl/sharedStrings.xml><?xml version="1.0" encoding="utf-8"?>
<sst xmlns="http://schemas.openxmlformats.org/spreadsheetml/2006/main" count="35" uniqueCount="31">
  <si>
    <t>Ea</t>
  </si>
  <si>
    <t>Model Predicted k</t>
  </si>
  <si>
    <t>Measured k</t>
  </si>
  <si>
    <t>Measured T</t>
  </si>
  <si>
    <t>A</t>
  </si>
  <si>
    <t>1/T</t>
  </si>
  <si>
    <t>ln(k)</t>
  </si>
  <si>
    <t>ln(A)=</t>
  </si>
  <si>
    <t>A=</t>
  </si>
  <si>
    <t>-Ea/R =</t>
  </si>
  <si>
    <t>Ea=</t>
  </si>
  <si>
    <t>Actual Parameters</t>
  </si>
  <si>
    <t>Estimated Parameters from Linear Regression</t>
  </si>
  <si>
    <t>Estimated Parameters from Sum of Squared Errors</t>
  </si>
  <si>
    <t>Error</t>
  </si>
  <si>
    <t>SSE</t>
  </si>
  <si>
    <t>Number of Parameters</t>
  </si>
  <si>
    <t>p</t>
  </si>
  <si>
    <t>Number of Data Points</t>
  </si>
  <si>
    <t>n</t>
  </si>
  <si>
    <t>Frac Cutoff</t>
  </si>
  <si>
    <t>Objective Cutoff</t>
  </si>
  <si>
    <t>Confidence Region</t>
  </si>
  <si>
    <t>alpha</t>
  </si>
  <si>
    <t>stdev</t>
  </si>
  <si>
    <t>sample mean</t>
  </si>
  <si>
    <t>(+/-)</t>
  </si>
  <si>
    <t>95% Confidence Interval</t>
  </si>
  <si>
    <t>Another way to calculate Confidence Interval</t>
  </si>
  <si>
    <t>Estimating Arrhenius Equation Parameters for Kinetics Applications</t>
  </si>
  <si>
    <t>k=A*exp(-Ea/(R*T))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</si>
</sst>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0" fillId="0" borderId="3" xfId="0" quotePrefix="1" applyBorder="1"/>
    <xf numFmtId="0" fontId="0" fillId="0" borderId="4" xfId="0" applyBorder="1"/>
    <xf numFmtId="0" fontId="0" fillId="0" borderId="3" xfId="0" applyBorder="1"/>
    <xf numFmtId="0" fontId="1" fillId="0" borderId="0" xfId="0" applyFont="1"/>
    <xf numFmtId="0" fontId="0" fillId="0" borderId="5" xfId="0" applyBorder="1"/>
    <xf numFmtId="0" fontId="2" fillId="0" borderId="0" xfId="0" applyFont="1"/>
    <xf numFmtId="0" fontId="1" fillId="0" borderId="6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98862642169728"/>
          <c:y val="0.10684055118110236"/>
          <c:w val="0.79833683289588808"/>
          <c:h val="0.679008092738407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'Nonlinear Statistics'!$I$4</c:f>
              <c:strCache>
                <c:ptCount val="1"/>
                <c:pt idx="0">
                  <c:v>ln(k)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4009448818898128E-3"/>
                  <c:y val="-0.43476487314085738"/>
                </c:manualLayout>
              </c:layout>
              <c:numFmt formatCode="General" sourceLinked="0"/>
            </c:trendlineLbl>
          </c:trendline>
          <c:xVal>
            <c:numRef>
              <c:f>'Nonlinear Statistics'!$H$5:$H$18</c:f>
              <c:numCache>
                <c:formatCode>0.0000</c:formatCode>
                <c:ptCount val="14"/>
                <c:pt idx="0">
                  <c:v>3.3310016321907998E-3</c:v>
                </c:pt>
                <c:pt idx="1">
                  <c:v>3.3553150069777346E-3</c:v>
                </c:pt>
                <c:pt idx="2">
                  <c:v>3.0345764241966155E-3</c:v>
                </c:pt>
                <c:pt idx="3">
                  <c:v>2.8693142418899338E-3</c:v>
                </c:pt>
                <c:pt idx="4">
                  <c:v>2.7489486731439913E-3</c:v>
                </c:pt>
                <c:pt idx="5">
                  <c:v>2.8315030064496143E-3</c:v>
                </c:pt>
                <c:pt idx="6">
                  <c:v>2.7040701103518911E-3</c:v>
                </c:pt>
                <c:pt idx="7">
                  <c:v>2.6420967073531756E-3</c:v>
                </c:pt>
                <c:pt idx="8">
                  <c:v>2.6825437079368909E-3</c:v>
                </c:pt>
                <c:pt idx="9">
                  <c:v>2.5308993458876424E-3</c:v>
                </c:pt>
                <c:pt idx="10">
                  <c:v>2.3766554220529773E-3</c:v>
                </c:pt>
                <c:pt idx="11">
                  <c:v>2.2408810144268509E-3</c:v>
                </c:pt>
                <c:pt idx="12">
                  <c:v>2.1863396722479034E-3</c:v>
                </c:pt>
                <c:pt idx="13">
                  <c:v>2.1470286883601246E-3</c:v>
                </c:pt>
              </c:numCache>
            </c:numRef>
          </c:xVal>
          <c:yVal>
            <c:numRef>
              <c:f>'Nonlinear Statistics'!$I$5:$I$18</c:f>
              <c:numCache>
                <c:formatCode>0.00</c:formatCode>
                <c:ptCount val="14"/>
                <c:pt idx="0">
                  <c:v>8.8108294080738574</c:v>
                </c:pt>
                <c:pt idx="1">
                  <c:v>8.8095105171281798</c:v>
                </c:pt>
                <c:pt idx="2">
                  <c:v>8.8034517134395891</c:v>
                </c:pt>
                <c:pt idx="3">
                  <c:v>8.8364465068959319</c:v>
                </c:pt>
                <c:pt idx="4">
                  <c:v>8.8233609770673063</c:v>
                </c:pt>
                <c:pt idx="5">
                  <c:v>8.8417193796067046</c:v>
                </c:pt>
                <c:pt idx="6">
                  <c:v>8.8660694538267464</c:v>
                </c:pt>
                <c:pt idx="7">
                  <c:v>8.859727628948832</c:v>
                </c:pt>
                <c:pt idx="8">
                  <c:v>8.8783051671167073</c:v>
                </c:pt>
                <c:pt idx="9">
                  <c:v>8.8867641409369202</c:v>
                </c:pt>
                <c:pt idx="10">
                  <c:v>8.8957692589580777</c:v>
                </c:pt>
                <c:pt idx="11">
                  <c:v>8.8817692752186304</c:v>
                </c:pt>
                <c:pt idx="12">
                  <c:v>8.9063649736683033</c:v>
                </c:pt>
                <c:pt idx="13">
                  <c:v>8.9205343609256822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2-4D7E-AA46-4A6E33259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78336"/>
        <c:axId val="79878912"/>
      </c:scatterChart>
      <c:valAx>
        <c:axId val="79878336"/>
        <c:scaling>
          <c:orientation val="minMax"/>
          <c:max val="4.000000000000001E-3"/>
          <c:min val="2.0000000000000005E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</a:t>
                </a:r>
              </a:p>
            </c:rich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79878912"/>
        <c:crosses val="autoZero"/>
        <c:crossBetween val="midCat"/>
      </c:valAx>
      <c:valAx>
        <c:axId val="79878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ln(k)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878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699912510936136"/>
          <c:y val="0.20557669874599008"/>
          <c:w val="0.22366761154855644"/>
          <c:h val="0.13502697579469233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'Nonlinear Statistics'!$G$23:$G$29</c:f>
              <c:numCache>
                <c:formatCode>General</c:formatCode>
                <c:ptCount val="7"/>
                <c:pt idx="0">
                  <c:v>9010</c:v>
                </c:pt>
                <c:pt idx="1">
                  <c:v>9020</c:v>
                </c:pt>
                <c:pt idx="2">
                  <c:v>9026.896912703276</c:v>
                </c:pt>
                <c:pt idx="3">
                  <c:v>9030</c:v>
                </c:pt>
                <c:pt idx="4">
                  <c:v>9040</c:v>
                </c:pt>
                <c:pt idx="5">
                  <c:v>9050</c:v>
                </c:pt>
              </c:numCache>
            </c:numRef>
          </c:xVal>
          <c:yVal>
            <c:numRef>
              <c:f>'Nonlinear Statistics'!$H$23:$H$29</c:f>
              <c:numCache>
                <c:formatCode>0</c:formatCode>
                <c:ptCount val="7"/>
                <c:pt idx="0">
                  <c:v>145080.99310669967</c:v>
                </c:pt>
                <c:pt idx="1">
                  <c:v>143044.49264942936</c:v>
                </c:pt>
                <c:pt idx="2">
                  <c:v>142633.26788679312</c:v>
                </c:pt>
                <c:pt idx="3">
                  <c:v>142712.74830395894</c:v>
                </c:pt>
                <c:pt idx="4">
                  <c:v>144085.76007028713</c:v>
                </c:pt>
                <c:pt idx="5">
                  <c:v>147163.52794841546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5D-46D4-BA5F-ED0F190021FB}"/>
            </c:ext>
          </c:extLst>
        </c:ser>
        <c:ser>
          <c:idx val="1"/>
          <c:order val="1"/>
          <c:tx>
            <c:v>Confidence Region</c:v>
          </c:tx>
          <c:xVal>
            <c:numRef>
              <c:f>'Nonlinear Statistics'!$G$35:$G$36</c:f>
              <c:numCache>
                <c:formatCode>General</c:formatCode>
                <c:ptCount val="2"/>
                <c:pt idx="0">
                  <c:v>9015</c:v>
                </c:pt>
                <c:pt idx="1">
                  <c:v>9040</c:v>
                </c:pt>
              </c:numCache>
            </c:numRef>
          </c:xVal>
          <c:yVal>
            <c:numRef>
              <c:f>'Nonlinear Statistics'!$H$35:$H$36</c:f>
              <c:numCache>
                <c:formatCode>0</c:formatCode>
                <c:ptCount val="2"/>
                <c:pt idx="0">
                  <c:v>143857.84986560969</c:v>
                </c:pt>
                <c:pt idx="1">
                  <c:v>143857.84986560969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5D-46D4-BA5F-ED0F19002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382336"/>
        <c:axId val="219382912"/>
      </c:scatterChart>
      <c:valAx>
        <c:axId val="2193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9382912"/>
        <c:crosses val="autoZero"/>
        <c:crossBetween val="midCat"/>
      </c:valAx>
      <c:valAx>
        <c:axId val="219382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Sum of Squared Errors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2193823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6</xdr:row>
      <xdr:rowOff>4762</xdr:rowOff>
    </xdr:from>
    <xdr:to>
      <xdr:col>17</xdr:col>
      <xdr:colOff>257175</xdr:colOff>
      <xdr:row>20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561975</xdr:colOff>
      <xdr:row>20</xdr:row>
      <xdr:rowOff>109536</xdr:rowOff>
    </xdr:from>
    <xdr:to>
      <xdr:col>17</xdr:col>
      <xdr:colOff>247649</xdr:colOff>
      <xdr:row>35</xdr:row>
      <xdr:rowOff>66674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G31" sqref="G31"/>
    </sheetView>
  </sheetViews>
  <sheetFormatPr defaultRowHeight="14.25" x14ac:dyDescent="0.45"/>
  <cols>
    <col min="2" max="2" width="8.3984375" bestFit="1" customWidth="1"/>
    <col min="3" max="3" width="4" bestFit="1" customWidth="1"/>
    <col min="4" max="4" width="12" bestFit="1" customWidth="1"/>
    <col min="5" max="5" width="11.3984375" bestFit="1" customWidth="1"/>
    <col min="6" max="6" width="17.59765625" bestFit="1" customWidth="1"/>
    <col min="8" max="10" width="12" bestFit="1" customWidth="1"/>
  </cols>
  <sheetData>
    <row r="1" spans="1:9" x14ac:dyDescent="0.45">
      <c r="A1" s="10" t="s">
        <v>29</v>
      </c>
    </row>
    <row r="2" spans="1:9" x14ac:dyDescent="0.45">
      <c r="B2" s="14" t="s">
        <v>30</v>
      </c>
    </row>
    <row r="4" spans="1:9" x14ac:dyDescent="0.45">
      <c r="A4" s="10" t="s">
        <v>11</v>
      </c>
      <c r="B4" s="10"/>
      <c r="C4" s="10"/>
      <c r="D4" s="10" t="s">
        <v>3</v>
      </c>
      <c r="E4" s="10" t="s">
        <v>2</v>
      </c>
      <c r="F4" s="10" t="s">
        <v>1</v>
      </c>
      <c r="G4" s="10" t="s">
        <v>14</v>
      </c>
      <c r="H4" s="10" t="s">
        <v>5</v>
      </c>
      <c r="I4" s="10" t="s">
        <v>6</v>
      </c>
    </row>
    <row r="5" spans="1:9" x14ac:dyDescent="0.45">
      <c r="A5" t="s">
        <v>4</v>
      </c>
      <c r="B5">
        <v>10000</v>
      </c>
      <c r="D5" s="3">
        <v>300.20999999999998</v>
      </c>
      <c r="E5" s="3">
        <v>6706.4793690384658</v>
      </c>
      <c r="F5" s="3">
        <f>$B$5*EXP(-$B$6/8.31451/D5)</f>
        <v>6699.0114121991219</v>
      </c>
      <c r="G5">
        <f>(E5-F5)^2</f>
        <v>55.770379354304367</v>
      </c>
      <c r="H5" s="1">
        <f>1/D5</f>
        <v>3.3310016321907998E-3</v>
      </c>
      <c r="I5" s="2">
        <f>LN(E5)</f>
        <v>8.8108294080738574</v>
      </c>
    </row>
    <row r="6" spans="1:9" x14ac:dyDescent="0.45">
      <c r="A6" t="s">
        <v>0</v>
      </c>
      <c r="B6">
        <v>1000</v>
      </c>
      <c r="D6" s="3">
        <v>298.0346101395528</v>
      </c>
      <c r="E6" s="3">
        <v>6697.6400844287891</v>
      </c>
      <c r="F6" s="3">
        <f t="shared" ref="F6:F18" si="0">$B$5*EXP(-$B$6/8.31451/D6)</f>
        <v>6679.4507085720152</v>
      </c>
      <c r="G6">
        <f t="shared" ref="G6:G18" si="1">(E6-F6)^2</f>
        <v>330.85339405899106</v>
      </c>
      <c r="H6" s="1">
        <f t="shared" ref="H6:H18" si="2">1/D6</f>
        <v>3.3553150069777346E-3</v>
      </c>
      <c r="I6" s="2">
        <f t="shared" ref="I6:I18" si="3">LN(E6)</f>
        <v>8.8095105171281798</v>
      </c>
    </row>
    <row r="7" spans="1:9" x14ac:dyDescent="0.45">
      <c r="D7" s="3">
        <v>329.53528275852983</v>
      </c>
      <c r="E7" s="3">
        <v>6657.183082259</v>
      </c>
      <c r="F7" s="3">
        <f t="shared" si="0"/>
        <v>6942.1499650896812</v>
      </c>
      <c r="G7">
        <f t="shared" si="1"/>
        <v>81206.124310235216</v>
      </c>
      <c r="H7" s="1">
        <f t="shared" si="2"/>
        <v>3.0345764241966155E-3</v>
      </c>
      <c r="I7" s="2">
        <f t="shared" si="3"/>
        <v>8.8034517134395891</v>
      </c>
    </row>
    <row r="8" spans="1:9" x14ac:dyDescent="0.45">
      <c r="A8" s="10" t="s">
        <v>16</v>
      </c>
      <c r="D8" s="3">
        <v>348.51533003974117</v>
      </c>
      <c r="E8" s="3">
        <v>6880.4993407834227</v>
      </c>
      <c r="F8" s="3">
        <f t="shared" si="0"/>
        <v>7081.5150744515977</v>
      </c>
      <c r="G8">
        <f t="shared" si="1"/>
        <v>40407.325182154673</v>
      </c>
      <c r="H8" s="1">
        <f t="shared" si="2"/>
        <v>2.8693142418899338E-3</v>
      </c>
      <c r="I8" s="2">
        <f t="shared" si="3"/>
        <v>8.8364465068959319</v>
      </c>
    </row>
    <row r="9" spans="1:9" x14ac:dyDescent="0.45">
      <c r="A9" t="s">
        <v>17</v>
      </c>
      <c r="B9">
        <v>2</v>
      </c>
      <c r="D9" s="3">
        <v>363.77543523076889</v>
      </c>
      <c r="E9" s="3">
        <v>6791.0508780469063</v>
      </c>
      <c r="F9" s="3">
        <f t="shared" si="0"/>
        <v>7184.7767423041387</v>
      </c>
      <c r="G9">
        <f t="shared" si="1"/>
        <v>155020.05618510459</v>
      </c>
      <c r="H9" s="1">
        <f t="shared" si="2"/>
        <v>2.7489486731439913E-3</v>
      </c>
      <c r="I9" s="2">
        <f t="shared" si="3"/>
        <v>8.8233609770673063</v>
      </c>
    </row>
    <row r="10" spans="1:9" x14ac:dyDescent="0.45">
      <c r="D10" s="3">
        <v>353.16932304934664</v>
      </c>
      <c r="E10" s="3">
        <v>6916.8751562359839</v>
      </c>
      <c r="F10" s="3">
        <f t="shared" si="0"/>
        <v>7113.7924540015847</v>
      </c>
      <c r="G10">
        <f t="shared" si="1"/>
        <v>38776.422159306283</v>
      </c>
      <c r="H10" s="1">
        <f t="shared" si="2"/>
        <v>2.8315030064496143E-3</v>
      </c>
      <c r="I10" s="2">
        <f t="shared" si="3"/>
        <v>8.8417193796067046</v>
      </c>
    </row>
    <row r="11" spans="1:9" x14ac:dyDescent="0.45">
      <c r="A11" s="10" t="s">
        <v>18</v>
      </c>
      <c r="D11" s="3">
        <v>369.81289655609783</v>
      </c>
      <c r="E11" s="3">
        <v>7087.3689235039474</v>
      </c>
      <c r="F11" s="3">
        <f>$B$5*EXP(-$B$6/8.31451/D11)</f>
        <v>7223.6622849096266</v>
      </c>
      <c r="G11">
        <f t="shared" si="1"/>
        <v>18575.880363259086</v>
      </c>
      <c r="H11" s="1">
        <f>1/D11</f>
        <v>2.7040701103518911E-3</v>
      </c>
      <c r="I11" s="2">
        <f t="shared" si="3"/>
        <v>8.8660694538267464</v>
      </c>
    </row>
    <row r="12" spans="1:9" x14ac:dyDescent="0.45">
      <c r="A12" t="s">
        <v>19</v>
      </c>
      <c r="B12">
        <f>COUNT(D5:D18)</f>
        <v>14</v>
      </c>
      <c r="D12" s="3">
        <v>378.48728141438448</v>
      </c>
      <c r="E12" s="3">
        <v>7042.5642926725241</v>
      </c>
      <c r="F12" s="3">
        <f t="shared" si="0"/>
        <v>7277.7060580022344</v>
      </c>
      <c r="G12">
        <f t="shared" si="1"/>
        <v>55291.649802372558</v>
      </c>
      <c r="H12" s="1">
        <f t="shared" si="2"/>
        <v>2.6420967073531756E-3</v>
      </c>
      <c r="I12" s="2">
        <f t="shared" si="3"/>
        <v>8.859727628948832</v>
      </c>
    </row>
    <row r="13" spans="1:9" x14ac:dyDescent="0.45">
      <c r="D13" s="3">
        <v>372.78050569736547</v>
      </c>
      <c r="E13" s="3">
        <v>7174.6206425868195</v>
      </c>
      <c r="F13" s="3">
        <f t="shared" si="0"/>
        <v>7242.3886957758186</v>
      </c>
      <c r="G13">
        <f t="shared" si="1"/>
        <v>4592.5090330270177</v>
      </c>
      <c r="H13" s="1">
        <f t="shared" si="2"/>
        <v>2.6825437079368909E-3</v>
      </c>
      <c r="I13" s="2">
        <f t="shared" si="3"/>
        <v>8.8783051671167073</v>
      </c>
    </row>
    <row r="14" spans="1:9" x14ac:dyDescent="0.45">
      <c r="D14" s="3">
        <v>395.11646388658647</v>
      </c>
      <c r="E14" s="3">
        <v>7235.5679833326994</v>
      </c>
      <c r="F14" s="3">
        <f t="shared" si="0"/>
        <v>7375.6910752511085</v>
      </c>
      <c r="G14">
        <f t="shared" si="1"/>
        <v>19634.48088877491</v>
      </c>
      <c r="H14" s="1">
        <f t="shared" si="2"/>
        <v>2.5308993458876424E-3</v>
      </c>
      <c r="I14" s="2">
        <f t="shared" si="3"/>
        <v>8.8867641409369202</v>
      </c>
    </row>
    <row r="15" spans="1:9" x14ac:dyDescent="0.45">
      <c r="D15" s="3">
        <v>420.75935397323633</v>
      </c>
      <c r="E15" s="3">
        <v>7301.0193834651736</v>
      </c>
      <c r="F15" s="3">
        <f t="shared" si="0"/>
        <v>7513.7958478097798</v>
      </c>
      <c r="G15">
        <f t="shared" si="1"/>
        <v>45273.823778991478</v>
      </c>
      <c r="H15" s="1">
        <f t="shared" si="2"/>
        <v>2.3766554220529773E-3</v>
      </c>
      <c r="I15" s="2">
        <f t="shared" si="3"/>
        <v>8.8957692589580777</v>
      </c>
    </row>
    <row r="16" spans="1:9" x14ac:dyDescent="0.45">
      <c r="D16" s="3">
        <v>446.25305563391083</v>
      </c>
      <c r="E16" s="3">
        <v>7199.5174017186964</v>
      </c>
      <c r="F16" s="3">
        <f t="shared" si="0"/>
        <v>7637.5020423445776</v>
      </c>
      <c r="G16">
        <f t="shared" si="1"/>
        <v>191830.54542418229</v>
      </c>
      <c r="H16" s="1">
        <f t="shared" si="2"/>
        <v>2.2408810144268509E-3</v>
      </c>
      <c r="I16" s="2">
        <f t="shared" si="3"/>
        <v>8.8817692752186304</v>
      </c>
    </row>
    <row r="17" spans="1:9" x14ac:dyDescent="0.45">
      <c r="D17" s="3">
        <v>457.38547065371665</v>
      </c>
      <c r="E17" s="3">
        <v>7378.7901929974996</v>
      </c>
      <c r="F17" s="3">
        <f t="shared" si="0"/>
        <v>7687.7670458161738</v>
      </c>
      <c r="G17">
        <f t="shared" si="1"/>
        <v>95466.695577732637</v>
      </c>
      <c r="H17" s="1">
        <f t="shared" si="2"/>
        <v>2.1863396722479034E-3</v>
      </c>
      <c r="I17" s="2">
        <f t="shared" si="3"/>
        <v>8.9063649736683033</v>
      </c>
    </row>
    <row r="18" spans="1:9" x14ac:dyDescent="0.45">
      <c r="D18" s="3">
        <v>465.75996185863181</v>
      </c>
      <c r="E18" s="3">
        <v>7484.0873652211831</v>
      </c>
      <c r="F18" s="3">
        <f t="shared" si="0"/>
        <v>7724.2008520839063</v>
      </c>
      <c r="G18">
        <f t="shared" si="1"/>
        <v>57654.486573375158</v>
      </c>
      <c r="H18" s="1">
        <f t="shared" si="2"/>
        <v>2.1470286883601246E-3</v>
      </c>
      <c r="I18" s="2">
        <f t="shared" si="3"/>
        <v>8.9205343609256822</v>
      </c>
    </row>
    <row r="19" spans="1:9" ht="14.65" thickBot="1" x14ac:dyDescent="0.5"/>
    <row r="20" spans="1:9" ht="14.65" thickBot="1" x14ac:dyDescent="0.5">
      <c r="A20" s="10" t="s">
        <v>12</v>
      </c>
      <c r="G20" s="11">
        <f>SUM(G5:G18)</f>
        <v>804116.62305192917</v>
      </c>
      <c r="H20" s="13" t="s">
        <v>15</v>
      </c>
    </row>
    <row r="21" spans="1:9" x14ac:dyDescent="0.45">
      <c r="A21" s="5" t="s">
        <v>7</v>
      </c>
      <c r="B21" s="6">
        <f>INTERCEPT(I5:I18,H5:H18)</f>
        <v>9.1060346608802103</v>
      </c>
      <c r="C21" s="5" t="s">
        <v>8</v>
      </c>
      <c r="D21" s="6">
        <f>EXP(B21)</f>
        <v>9009.4982495745189</v>
      </c>
    </row>
    <row r="22" spans="1:9" ht="14.65" thickBot="1" x14ac:dyDescent="0.5">
      <c r="A22" s="7" t="s">
        <v>9</v>
      </c>
      <c r="B22" s="8">
        <f>SLOPE(I5:I18,H5:H18)</f>
        <v>-91.925546756234311</v>
      </c>
      <c r="C22" s="9" t="s">
        <v>10</v>
      </c>
      <c r="D22" s="8">
        <f>-B22*8.31451</f>
        <v>764.31587776017773</v>
      </c>
      <c r="G22" s="12" t="s">
        <v>4</v>
      </c>
      <c r="H22" s="12" t="s">
        <v>15</v>
      </c>
    </row>
    <row r="23" spans="1:9" x14ac:dyDescent="0.45">
      <c r="G23">
        <v>9010</v>
      </c>
      <c r="H23" s="3">
        <v>145080.99310669967</v>
      </c>
    </row>
    <row r="24" spans="1:9" x14ac:dyDescent="0.45">
      <c r="A24" s="10" t="s">
        <v>13</v>
      </c>
      <c r="G24">
        <v>9020</v>
      </c>
      <c r="H24" s="3">
        <v>143044.49264942936</v>
      </c>
    </row>
    <row r="25" spans="1:9" x14ac:dyDescent="0.45">
      <c r="G25">
        <v>9026.896912703276</v>
      </c>
      <c r="H25" s="3">
        <v>142633.26788679312</v>
      </c>
    </row>
    <row r="26" spans="1:9" x14ac:dyDescent="0.45">
      <c r="G26">
        <v>9030</v>
      </c>
      <c r="H26" s="3">
        <v>142712.74830395894</v>
      </c>
    </row>
    <row r="27" spans="1:9" x14ac:dyDescent="0.45">
      <c r="G27">
        <v>9040</v>
      </c>
      <c r="H27" s="3">
        <v>144085.76007028713</v>
      </c>
    </row>
    <row r="28" spans="1:9" x14ac:dyDescent="0.45">
      <c r="G28">
        <v>9050</v>
      </c>
      <c r="H28" s="3">
        <v>147163.52794841546</v>
      </c>
    </row>
    <row r="29" spans="1:9" x14ac:dyDescent="0.45">
      <c r="H29" s="3"/>
    </row>
    <row r="31" spans="1:9" x14ac:dyDescent="0.45">
      <c r="F31" s="10" t="s">
        <v>20</v>
      </c>
      <c r="G31">
        <f>B9/(B12-B9)*_xlfn.F.INV(0.05,B9,B12-B9)</f>
        <v>8.5855284462002489E-3</v>
      </c>
    </row>
    <row r="32" spans="1:9" x14ac:dyDescent="0.45">
      <c r="F32" s="10" t="s">
        <v>21</v>
      </c>
      <c r="G32">
        <f>G31*H25+H25</f>
        <v>143857.84986560969</v>
      </c>
    </row>
    <row r="34" spans="7:8" x14ac:dyDescent="0.45">
      <c r="G34" s="10" t="s">
        <v>4</v>
      </c>
      <c r="H34" s="10" t="s">
        <v>22</v>
      </c>
    </row>
    <row r="35" spans="7:8" x14ac:dyDescent="0.45">
      <c r="G35">
        <v>9015</v>
      </c>
      <c r="H35" s="3">
        <f>$G$32</f>
        <v>143857.84986560969</v>
      </c>
    </row>
    <row r="36" spans="7:8" x14ac:dyDescent="0.45">
      <c r="G36">
        <v>9040</v>
      </c>
      <c r="H36" s="3">
        <f>$G$32</f>
        <v>143857.84986560969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D21" sqref="D21"/>
    </sheetView>
  </sheetViews>
  <sheetFormatPr defaultRowHeight="14.25" x14ac:dyDescent="0.45"/>
  <cols>
    <col min="1" max="1" width="12.86328125" bestFit="1" customWidth="1"/>
    <col min="5" max="5" width="1.86328125" customWidth="1"/>
  </cols>
  <sheetData>
    <row r="2" spans="1:6" x14ac:dyDescent="0.45">
      <c r="A2" t="s">
        <v>23</v>
      </c>
      <c r="B2">
        <v>0.05</v>
      </c>
    </row>
    <row r="3" spans="1:6" x14ac:dyDescent="0.45">
      <c r="A3" t="s">
        <v>24</v>
      </c>
      <c r="B3">
        <v>15</v>
      </c>
    </row>
    <row r="4" spans="1:6" x14ac:dyDescent="0.45">
      <c r="A4" t="s">
        <v>19</v>
      </c>
      <c r="B4">
        <v>50</v>
      </c>
    </row>
    <row r="5" spans="1:6" x14ac:dyDescent="0.45">
      <c r="A5" t="s">
        <v>25</v>
      </c>
      <c r="B5">
        <v>105</v>
      </c>
      <c r="C5" t="s">
        <v>26</v>
      </c>
      <c r="D5">
        <f>CONFIDENCE(B2,B3,B4)</f>
        <v>4.1577114730490319</v>
      </c>
      <c r="F5" s="4" t="s">
        <v>27</v>
      </c>
    </row>
    <row r="6" spans="1:6" x14ac:dyDescent="0.45">
      <c r="D6">
        <f>NORMSINV(1 - B2/2)*B3/SQRT(B4)</f>
        <v>4.1577114730490328</v>
      </c>
      <c r="F6" t="s">
        <v>28</v>
      </c>
    </row>
    <row r="8" spans="1:6" x14ac:dyDescent="0.45">
      <c r="B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Nonlinear Statistics</vt:lpstr>
      <vt:lpstr>Confidence Interval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2013-03-03T04:14:04Z</dcterms:created>
  <dcterms:modified xsi:type="dcterms:W3CDTF">2017-03-08T00:27:58Z</dcterms:modified>
</cp:coreProperties>
</file>